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ブログ\office365\excel\保険料控除\"/>
    </mc:Choice>
  </mc:AlternateContent>
  <xr:revisionPtr revIDLastSave="0" documentId="8_{2ED6514B-0BD8-405F-8E5B-48FCD68ECEC7}" xr6:coauthVersionLast="47" xr6:coauthVersionMax="47" xr10:uidLastSave="{00000000-0000-0000-0000-000000000000}"/>
  <bookViews>
    <workbookView xWindow="-108" yWindow="-108" windowWidth="30936" windowHeight="17040" xr2:uid="{5E196EB4-FBCA-4C0B-AA51-D07BE4E517B3}"/>
  </bookViews>
  <sheets>
    <sheet name="生命保険料控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N30" i="1" s="1"/>
  <c r="D32" i="1"/>
  <c r="D34" i="1" s="1"/>
  <c r="D23" i="1"/>
  <c r="W18" i="1" s="1"/>
  <c r="D22" i="1"/>
  <c r="P19" i="1" s="1"/>
  <c r="D15" i="1"/>
  <c r="Q14" i="1" s="1"/>
  <c r="D8" i="1"/>
  <c r="W3" i="1" s="1"/>
  <c r="X3" i="1" s="1"/>
  <c r="D7" i="1"/>
  <c r="P3" i="1" s="1"/>
  <c r="Q3" i="1" s="1"/>
  <c r="P12" i="1" l="1"/>
  <c r="Q12" i="1" s="1"/>
  <c r="P13" i="1"/>
  <c r="Q13" i="1" s="1"/>
  <c r="W20" i="1"/>
  <c r="X20" i="1" s="1"/>
  <c r="W19" i="1"/>
  <c r="X19" i="1" s="1"/>
  <c r="P20" i="1"/>
  <c r="Q20" i="1" s="1"/>
  <c r="W4" i="1"/>
  <c r="X4" i="1" s="1"/>
  <c r="W5" i="1"/>
  <c r="X5" i="1" s="1"/>
  <c r="P5" i="1"/>
  <c r="Q5" i="1" s="1"/>
  <c r="P4" i="1"/>
  <c r="Q4" i="1" s="1"/>
  <c r="N31" i="1"/>
  <c r="O31" i="1" s="1"/>
  <c r="O30" i="1"/>
  <c r="P18" i="1"/>
  <c r="Q18" i="1" s="1"/>
  <c r="Q19" i="1"/>
  <c r="X21" i="1"/>
  <c r="Q21" i="1"/>
  <c r="X18" i="1"/>
  <c r="P11" i="1"/>
  <c r="Q11" i="1" s="1"/>
  <c r="X6" i="1"/>
  <c r="Q6" i="1"/>
  <c r="Q15" i="1" l="1"/>
  <c r="J15" i="1" s="1"/>
  <c r="Q7" i="1"/>
  <c r="O32" i="1"/>
  <c r="G34" i="1" s="1"/>
  <c r="G35" i="1" s="1"/>
  <c r="X22" i="1"/>
  <c r="G23" i="1" s="1"/>
  <c r="Q22" i="1"/>
  <c r="X7" i="1"/>
  <c r="G8" i="1" s="1"/>
  <c r="G22" i="1" l="1"/>
  <c r="X23" i="1"/>
  <c r="J22" i="1" s="1"/>
  <c r="J23" i="1" s="1"/>
  <c r="G7" i="1"/>
  <c r="X8" i="1"/>
  <c r="J7" i="1" l="1"/>
  <c r="J8" i="1" s="1"/>
  <c r="J25" i="1" s="1"/>
</calcChain>
</file>

<file path=xl/sharedStrings.xml><?xml version="1.0" encoding="utf-8"?>
<sst xmlns="http://schemas.openxmlformats.org/spreadsheetml/2006/main" count="119" uniqueCount="64">
  <si>
    <t>新旧の区分</t>
    <rPh sb="0" eb="2">
      <t>シンキュウ</t>
    </rPh>
    <rPh sb="3" eb="5">
      <t>クブン</t>
    </rPh>
    <phoneticPr fontId="2"/>
  </si>
  <si>
    <t>保険等の契約者</t>
    <rPh sb="0" eb="2">
      <t>ホケン</t>
    </rPh>
    <rPh sb="2" eb="3">
      <t>トウ</t>
    </rPh>
    <rPh sb="4" eb="7">
      <t>ケイヤクシャ</t>
    </rPh>
    <phoneticPr fontId="2"/>
  </si>
  <si>
    <t>保険料等の金額(a)</t>
    <rPh sb="0" eb="3">
      <t>ホケンリョウ</t>
    </rPh>
    <rPh sb="3" eb="4">
      <t>トウ</t>
    </rPh>
    <rPh sb="5" eb="7">
      <t>キンガク</t>
    </rPh>
    <phoneticPr fontId="2"/>
  </si>
  <si>
    <t>②と③のいずれか大きい金額</t>
    <rPh sb="8" eb="9">
      <t>オオ</t>
    </rPh>
    <rPh sb="11" eb="13">
      <t>キンガク</t>
    </rPh>
    <phoneticPr fontId="2"/>
  </si>
  <si>
    <t>A</t>
    <phoneticPr fontId="2"/>
  </si>
  <si>
    <t>(a)のうち新保険料等の金額の合計額</t>
    <rPh sb="6" eb="10">
      <t>シンホケンリョウ</t>
    </rPh>
    <rPh sb="10" eb="11">
      <t>トウ</t>
    </rPh>
    <rPh sb="12" eb="14">
      <t>キンガク</t>
    </rPh>
    <rPh sb="15" eb="18">
      <t>ゴウケイガク</t>
    </rPh>
    <phoneticPr fontId="2"/>
  </si>
  <si>
    <t>(a)のうち旧保険料等の金額の合計額</t>
    <rPh sb="6" eb="7">
      <t>キュウ</t>
    </rPh>
    <rPh sb="7" eb="10">
      <t>ホケンリョウ</t>
    </rPh>
    <rPh sb="10" eb="11">
      <t>トウ</t>
    </rPh>
    <rPh sb="12" eb="14">
      <t>キンガク</t>
    </rPh>
    <rPh sb="15" eb="18">
      <t>ゴウケイガク</t>
    </rPh>
    <phoneticPr fontId="2"/>
  </si>
  <si>
    <t>B</t>
    <phoneticPr fontId="2"/>
  </si>
  <si>
    <t>Aの金額を下の計算式Ⅰ（新保険料等用）に当てはめて計算した金額</t>
    <rPh sb="2" eb="4">
      <t>キンガク</t>
    </rPh>
    <rPh sb="5" eb="6">
      <t>シタ</t>
    </rPh>
    <rPh sb="7" eb="10">
      <t>ケイサンシキ</t>
    </rPh>
    <rPh sb="12" eb="13">
      <t>シン</t>
    </rPh>
    <rPh sb="13" eb="16">
      <t>ホケンリョウ</t>
    </rPh>
    <rPh sb="16" eb="17">
      <t>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2"/>
  </si>
  <si>
    <t>Aの金額を下の計算式Ⅱ（旧保険料等用）に当てはめて計算した金額</t>
    <rPh sb="2" eb="4">
      <t>キンガク</t>
    </rPh>
    <rPh sb="5" eb="6">
      <t>シタ</t>
    </rPh>
    <rPh sb="7" eb="10">
      <t>ケイサンシキ</t>
    </rPh>
    <rPh sb="12" eb="13">
      <t>キュウ</t>
    </rPh>
    <rPh sb="13" eb="16">
      <t>ホケンリョウ</t>
    </rPh>
    <rPh sb="16" eb="17">
      <t>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2"/>
  </si>
  <si>
    <t>①</t>
    <phoneticPr fontId="2"/>
  </si>
  <si>
    <t>②</t>
    <phoneticPr fontId="2"/>
  </si>
  <si>
    <t>計（①+②）</t>
    <rPh sb="0" eb="1">
      <t>ケイ</t>
    </rPh>
    <phoneticPr fontId="2"/>
  </si>
  <si>
    <t>③</t>
    <phoneticPr fontId="2"/>
  </si>
  <si>
    <t>イ</t>
    <phoneticPr fontId="2"/>
  </si>
  <si>
    <t>計算式Ⅰ（新保険料等用）</t>
    <rPh sb="0" eb="3">
      <t>ケイサンシキ</t>
    </rPh>
    <rPh sb="5" eb="9">
      <t>シンホケンリョウ</t>
    </rPh>
    <rPh sb="9" eb="10">
      <t>トウ</t>
    </rPh>
    <rPh sb="10" eb="11">
      <t>ヨウ</t>
    </rPh>
    <phoneticPr fontId="2"/>
  </si>
  <si>
    <t>A,C又はDの金額</t>
    <rPh sb="3" eb="4">
      <t>マタ</t>
    </rPh>
    <rPh sb="7" eb="9">
      <t>キンガク</t>
    </rPh>
    <phoneticPr fontId="2"/>
  </si>
  <si>
    <t>控除額の計算式</t>
    <rPh sb="0" eb="2">
      <t>コウジョ</t>
    </rPh>
    <rPh sb="2" eb="3">
      <t>ガク</t>
    </rPh>
    <rPh sb="4" eb="7">
      <t>ケイサンシキ</t>
    </rPh>
    <phoneticPr fontId="2"/>
  </si>
  <si>
    <t>円以下</t>
    <phoneticPr fontId="2"/>
  </si>
  <si>
    <t>円から</t>
    <rPh sb="0" eb="1">
      <t>エン</t>
    </rPh>
    <phoneticPr fontId="2"/>
  </si>
  <si>
    <t>円まで</t>
    <rPh sb="0" eb="1">
      <t>エン</t>
    </rPh>
    <phoneticPr fontId="2"/>
  </si>
  <si>
    <t>以上</t>
    <rPh sb="0" eb="2">
      <t>イジョウ</t>
    </rPh>
    <phoneticPr fontId="2"/>
  </si>
  <si>
    <t>①＋②</t>
    <phoneticPr fontId="2"/>
  </si>
  <si>
    <t>計算式Ⅱ（旧保険料等用）</t>
    <rPh sb="0" eb="3">
      <t>ケイサンシキ</t>
    </rPh>
    <rPh sb="5" eb="6">
      <t>キュウ</t>
    </rPh>
    <rPh sb="6" eb="9">
      <t>ホケンリョウ</t>
    </rPh>
    <rPh sb="9" eb="10">
      <t>トウ</t>
    </rPh>
    <rPh sb="10" eb="11">
      <t>ヨウ</t>
    </rPh>
    <phoneticPr fontId="2"/>
  </si>
  <si>
    <t>B又はEの金額</t>
    <rPh sb="1" eb="2">
      <t>マタ</t>
    </rPh>
    <rPh sb="5" eb="7">
      <t>キンガク</t>
    </rPh>
    <phoneticPr fontId="2"/>
  </si>
  <si>
    <t>一律に40,000円</t>
    <rPh sb="0" eb="2">
      <t>イチリツ</t>
    </rPh>
    <rPh sb="9" eb="10">
      <t>エン</t>
    </rPh>
    <phoneticPr fontId="2"/>
  </si>
  <si>
    <t>一律に50,000円</t>
    <rPh sb="0" eb="2">
      <t>イチリツ</t>
    </rPh>
    <rPh sb="9" eb="10">
      <t>エン</t>
    </rPh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</si>
  <si>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一般の生命保険料が計算されます。</t>
    </r>
    <rPh sb="2" eb="4">
      <t>イッパン</t>
    </rPh>
    <rPh sb="5" eb="10">
      <t>セイメイホケンリョウ</t>
    </rPh>
    <rPh sb="11" eb="13">
      <t>ケイサン</t>
    </rPh>
    <phoneticPr fontId="2"/>
  </si>
  <si>
    <t>介護医療保険料</t>
    <rPh sb="0" eb="2">
      <t>カイゴ</t>
    </rPh>
    <rPh sb="2" eb="4">
      <t>イリョウ</t>
    </rPh>
    <rPh sb="4" eb="7">
      <t>ホケンリョウ</t>
    </rPh>
    <phoneticPr fontId="2"/>
  </si>
  <si>
    <t>一般の生命保険料</t>
    <rPh sb="0" eb="2">
      <t>イッパン</t>
    </rPh>
    <rPh sb="3" eb="8">
      <t>セイメイホケンリョウ</t>
    </rPh>
    <phoneticPr fontId="2"/>
  </si>
  <si>
    <t>(a)の金額の合計額</t>
    <rPh sb="4" eb="6">
      <t>キンガク</t>
    </rPh>
    <rPh sb="7" eb="10">
      <t>ゴウケイガク</t>
    </rPh>
    <phoneticPr fontId="2"/>
  </si>
  <si>
    <t>C</t>
    <phoneticPr fontId="2"/>
  </si>
  <si>
    <t>Cの金額を下の計算式Ⅰ（新保険料等用）に当てはめて計算した金額</t>
    <rPh sb="2" eb="4">
      <t>キンガク</t>
    </rPh>
    <rPh sb="5" eb="6">
      <t>シタ</t>
    </rPh>
    <rPh sb="7" eb="10">
      <t>ケイサンシキ</t>
    </rPh>
    <rPh sb="12" eb="13">
      <t>シン</t>
    </rPh>
    <rPh sb="13" eb="16">
      <t>ホケンリョウ</t>
    </rPh>
    <rPh sb="16" eb="17">
      <t>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2"/>
  </si>
  <si>
    <t>ロ</t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</si>
  <si>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介護医療保険が計算されます。</t>
    </r>
    <rPh sb="2" eb="4">
      <t>カイゴ</t>
    </rPh>
    <rPh sb="4" eb="6">
      <t>イリョウ</t>
    </rPh>
    <rPh sb="6" eb="8">
      <t>ホケン</t>
    </rPh>
    <rPh sb="9" eb="11">
      <t>ケイサン</t>
    </rPh>
    <phoneticPr fontId="2"/>
  </si>
  <si>
    <t>個人年金保険料</t>
    <rPh sb="0" eb="4">
      <t>コジンネンキン</t>
    </rPh>
    <rPh sb="4" eb="7">
      <t>ホケンリョウ</t>
    </rPh>
    <phoneticPr fontId="2"/>
  </si>
  <si>
    <t>ハ</t>
    <phoneticPr fontId="2"/>
  </si>
  <si>
    <t>④</t>
    <phoneticPr fontId="2"/>
  </si>
  <si>
    <t>⑤</t>
    <phoneticPr fontId="2"/>
  </si>
  <si>
    <t>⑥</t>
    <phoneticPr fontId="2"/>
  </si>
  <si>
    <t>Dの金額を下の計算式Ⅰ（新保険料等用）に当てはめて計算した金額</t>
    <rPh sb="2" eb="4">
      <t>キンガク</t>
    </rPh>
    <rPh sb="5" eb="6">
      <t>シタ</t>
    </rPh>
    <rPh sb="7" eb="10">
      <t>ケイサンシキ</t>
    </rPh>
    <rPh sb="12" eb="13">
      <t>シン</t>
    </rPh>
    <rPh sb="13" eb="16">
      <t>ホケンリョウ</t>
    </rPh>
    <rPh sb="16" eb="17">
      <t>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2"/>
  </si>
  <si>
    <t>Eの金額を下の計算式Ⅱ（旧保険料等用）に当てはめて計算した金額</t>
    <rPh sb="2" eb="4">
      <t>キンガク</t>
    </rPh>
    <rPh sb="5" eb="6">
      <t>シタ</t>
    </rPh>
    <rPh sb="7" eb="10">
      <t>ケイサンシキ</t>
    </rPh>
    <rPh sb="12" eb="13">
      <t>キュウ</t>
    </rPh>
    <rPh sb="13" eb="16">
      <t>ホケンリョウ</t>
    </rPh>
    <rPh sb="16" eb="17">
      <t>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2"/>
  </si>
  <si>
    <t>⑤と⑥のいずれか大きい金額</t>
    <rPh sb="8" eb="9">
      <t>オオ</t>
    </rPh>
    <rPh sb="11" eb="13">
      <t>キンガク</t>
    </rPh>
    <phoneticPr fontId="2"/>
  </si>
  <si>
    <t>計（④+⑤）</t>
    <rPh sb="0" eb="1">
      <t>ケイ</t>
    </rPh>
    <phoneticPr fontId="2"/>
  </si>
  <si>
    <t>生命保険料控除額イ+ロ+ハ</t>
    <rPh sb="0" eb="5">
      <t>セイメイホケンリョウ</t>
    </rPh>
    <rPh sb="5" eb="8">
      <t>コウジョガク</t>
    </rPh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</si>
  <si>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個人年金保険料が計算されます。</t>
    </r>
    <rPh sb="2" eb="8">
      <t>コジンネンキンホケン</t>
    </rPh>
    <rPh sb="8" eb="9">
      <t>リョウ</t>
    </rPh>
    <rPh sb="10" eb="12">
      <t>ケイサン</t>
    </rPh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</si>
  <si>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生命保険料控除額が計算されます。</t>
    </r>
    <rPh sb="2" eb="4">
      <t>セイメイ</t>
    </rPh>
    <rPh sb="4" eb="7">
      <t>ホケンリョウ</t>
    </rPh>
    <rPh sb="7" eb="9">
      <t>コウジョ</t>
    </rPh>
    <rPh sb="9" eb="10">
      <t>ガク</t>
    </rPh>
    <rPh sb="11" eb="13">
      <t>ケイサン</t>
    </rPh>
    <rPh sb="12" eb="14">
      <t>ケイサン</t>
    </rPh>
    <phoneticPr fontId="2"/>
  </si>
  <si>
    <t>D</t>
    <phoneticPr fontId="2"/>
  </si>
  <si>
    <t>E</t>
    <phoneticPr fontId="2"/>
  </si>
  <si>
    <r>
      <t>　</t>
    </r>
    <r>
      <rPr>
        <b/>
        <sz val="12"/>
        <color rgb="FFFF0000"/>
        <rFont val="Segoe UI Symbol"/>
        <family val="2"/>
      </rPr>
      <t>👇</t>
    </r>
    <r>
      <rPr>
        <b/>
        <sz val="12"/>
        <color rgb="FFFF0000"/>
        <rFont val="游ゴシック"/>
        <family val="2"/>
        <charset val="128"/>
        <scheme val="minor"/>
      </rPr>
      <t>新旧区分を記入します</t>
    </r>
    <rPh sb="3" eb="4">
      <t>シン</t>
    </rPh>
    <rPh sb="4" eb="5">
      <t>キュウ</t>
    </rPh>
    <rPh sb="5" eb="7">
      <t>クブン</t>
    </rPh>
    <rPh sb="8" eb="10">
      <t>キニュウ</t>
    </rPh>
    <phoneticPr fontId="2"/>
  </si>
  <si>
    <t>④+⑤</t>
    <phoneticPr fontId="2"/>
  </si>
  <si>
    <t>Aのうち地震保険料の金額の合計額</t>
    <rPh sb="4" eb="9">
      <t>ジシンホケンリョウ</t>
    </rPh>
    <rPh sb="10" eb="12">
      <t>キンガク</t>
    </rPh>
    <rPh sb="13" eb="16">
      <t>ゴウケイガク</t>
    </rPh>
    <phoneticPr fontId="2"/>
  </si>
  <si>
    <t>地震・旧長期</t>
    <rPh sb="0" eb="2">
      <t>ジシン</t>
    </rPh>
    <rPh sb="3" eb="6">
      <t>キュウチョウキ</t>
    </rPh>
    <phoneticPr fontId="2"/>
  </si>
  <si>
    <t>金額A</t>
    <rPh sb="0" eb="2">
      <t>キンガク</t>
    </rPh>
    <phoneticPr fontId="2"/>
  </si>
  <si>
    <t>Aのうち旧長期損害保険料の金額の合計額</t>
    <rPh sb="4" eb="5">
      <t>キュウ</t>
    </rPh>
    <rPh sb="5" eb="7">
      <t>チョウキ</t>
    </rPh>
    <rPh sb="7" eb="9">
      <t>ソンガイ</t>
    </rPh>
    <rPh sb="9" eb="12">
      <t>ホケンリョウ</t>
    </rPh>
    <rPh sb="13" eb="15">
      <t>キンガク</t>
    </rPh>
    <rPh sb="16" eb="19">
      <t>ゴウケイガク</t>
    </rPh>
    <phoneticPr fontId="2"/>
  </si>
  <si>
    <t>地震保険料控除額</t>
    <rPh sb="0" eb="5">
      <t>ジシンホケンリョウ</t>
    </rPh>
    <rPh sb="5" eb="8">
      <t>コウジョガク</t>
    </rPh>
    <phoneticPr fontId="2"/>
  </si>
  <si>
    <t>Bの金額</t>
    <rPh sb="2" eb="4">
      <t>キンガク</t>
    </rPh>
    <phoneticPr fontId="2"/>
  </si>
  <si>
    <t>Cの金額(Cの金額が10,000円を超える場合はC×1/2+5,000円)</t>
    <rPh sb="2" eb="4">
      <t>キンガク</t>
    </rPh>
    <rPh sb="7" eb="9">
      <t>キンガク</t>
    </rPh>
    <rPh sb="16" eb="17">
      <t>エン</t>
    </rPh>
    <rPh sb="18" eb="19">
      <t>コ</t>
    </rPh>
    <rPh sb="21" eb="23">
      <t>バアイ</t>
    </rPh>
    <rPh sb="35" eb="36">
      <t>エン</t>
    </rPh>
    <phoneticPr fontId="2"/>
  </si>
  <si>
    <t>旧長期損害保険料</t>
    <rPh sb="0" eb="3">
      <t>キュウチョウキ</t>
    </rPh>
    <rPh sb="3" eb="5">
      <t>ソンガイ</t>
    </rPh>
    <rPh sb="5" eb="8">
      <t>ホケンリョウ</t>
    </rPh>
    <phoneticPr fontId="2"/>
  </si>
  <si>
    <t>超</t>
    <rPh sb="0" eb="1">
      <t>チョウ</t>
    </rPh>
    <phoneticPr fontId="2"/>
  </si>
  <si>
    <t>以下</t>
    <rPh sb="0" eb="2">
      <t>イカ</t>
    </rPh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</si>
  <si>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地震保険料控除額が計算されます。</t>
    </r>
    <rPh sb="2" eb="4">
      <t>ジシン</t>
    </rPh>
    <rPh sb="4" eb="7">
      <t>ホケンリョウ</t>
    </rPh>
    <rPh sb="7" eb="9">
      <t>コウジョ</t>
    </rPh>
    <rPh sb="9" eb="10">
      <t>ガク</t>
    </rPh>
    <rPh sb="11" eb="13">
      <t>ケイサン</t>
    </rPh>
    <rPh sb="12" eb="14">
      <t>ケイサン</t>
    </rPh>
    <phoneticPr fontId="2"/>
  </si>
  <si>
    <t>地震保険料</t>
    <rPh sb="0" eb="5">
      <t>ジシン</t>
    </rPh>
    <phoneticPr fontId="2"/>
  </si>
  <si>
    <r>
      <rPr>
        <b/>
        <sz val="12"/>
        <color rgb="FFFF0000"/>
        <rFont val="Segoe UI Symbol"/>
        <family val="2"/>
      </rPr>
      <t>👈</t>
    </r>
    <r>
      <rPr>
        <b/>
        <sz val="12"/>
        <color rgb="FFFF0000"/>
        <rFont val="游ゴシック"/>
        <family val="2"/>
        <charset val="128"/>
        <scheme val="minor"/>
      </rPr>
      <t>緑色のセルに必要事項を入力します。</t>
    </r>
    <rPh sb="2" eb="3">
      <t>ミドリ</t>
    </rPh>
    <rPh sb="3" eb="4">
      <t>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</si>
</sst>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2"/>
      <charset val="128"/>
      <scheme val="minor"/>
    </font>
    <font>
      <b/>
      <sz val="12"/>
      <color rgb="FFFF0000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0" fillId="0" borderId="2" xfId="0" applyNumberForma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25" xfId="0" applyBorder="1">
      <alignment vertical="center"/>
    </xf>
    <xf numFmtId="0" fontId="0" fillId="0" borderId="11" xfId="0" applyBorder="1">
      <alignment vertical="center"/>
    </xf>
    <xf numFmtId="0" fontId="0" fillId="0" borderId="26" xfId="0" applyBorder="1">
      <alignment vertical="center"/>
    </xf>
    <xf numFmtId="0" fontId="0" fillId="2" borderId="11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38" fontId="0" fillId="0" borderId="36" xfId="1" applyFont="1" applyBorder="1">
      <alignment vertical="center"/>
    </xf>
    <xf numFmtId="38" fontId="0" fillId="0" borderId="27" xfId="0" applyNumberFormat="1" applyBorder="1">
      <alignment vertical="center"/>
    </xf>
    <xf numFmtId="38" fontId="0" fillId="0" borderId="7" xfId="1" applyNumberFormat="1" applyFont="1" applyBorder="1">
      <alignment vertical="center"/>
    </xf>
    <xf numFmtId="38" fontId="0" fillId="0" borderId="7" xfId="1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9" xfId="1" applyFon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38" fontId="0" fillId="3" borderId="21" xfId="1" applyFont="1" applyFill="1" applyBorder="1" applyAlignment="1">
      <alignment vertical="center"/>
    </xf>
    <xf numFmtId="38" fontId="0" fillId="3" borderId="19" xfId="1" applyFont="1" applyFill="1" applyBorder="1">
      <alignment vertical="center"/>
    </xf>
    <xf numFmtId="38" fontId="0" fillId="3" borderId="21" xfId="1" applyFont="1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38" fontId="0" fillId="4" borderId="14" xfId="1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38" fontId="0" fillId="4" borderId="3" xfId="1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38" fontId="0" fillId="4" borderId="4" xfId="1" applyFont="1" applyFill="1" applyBorder="1" applyAlignment="1">
      <alignment vertical="center"/>
    </xf>
    <xf numFmtId="38" fontId="0" fillId="4" borderId="16" xfId="1" applyFont="1" applyFill="1" applyBorder="1">
      <alignment vertical="center"/>
    </xf>
    <xf numFmtId="38" fontId="0" fillId="4" borderId="12" xfId="1" applyFont="1" applyFill="1" applyBorder="1">
      <alignment vertical="center"/>
    </xf>
    <xf numFmtId="0" fontId="0" fillId="4" borderId="29" xfId="0" applyFill="1" applyBorder="1" applyAlignment="1">
      <alignment horizontal="center" vertical="center"/>
    </xf>
    <xf numFmtId="38" fontId="0" fillId="4" borderId="30" xfId="1" applyFont="1" applyFill="1" applyBorder="1">
      <alignment vertical="center"/>
    </xf>
    <xf numFmtId="0" fontId="0" fillId="4" borderId="34" xfId="0" applyFill="1" applyBorder="1" applyAlignment="1">
      <alignment vertical="center" wrapText="1"/>
    </xf>
    <xf numFmtId="38" fontId="0" fillId="4" borderId="35" xfId="1" applyFont="1" applyFill="1" applyBorder="1" applyAlignment="1">
      <alignment vertical="center"/>
    </xf>
    <xf numFmtId="38" fontId="0" fillId="4" borderId="33" xfId="1" applyFont="1" applyFill="1" applyBorder="1" applyAlignment="1">
      <alignment vertical="center"/>
    </xf>
    <xf numFmtId="38" fontId="0" fillId="0" borderId="9" xfId="1" applyNumberFormat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6" fontId="0" fillId="0" borderId="7" xfId="1" applyNumberFormat="1" applyFont="1" applyBorder="1">
      <alignment vertical="center"/>
    </xf>
    <xf numFmtId="0" fontId="0" fillId="4" borderId="28" xfId="0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2" borderId="12" xfId="1" applyNumberFormat="1" applyFont="1" applyFill="1" applyBorder="1">
      <alignment vertical="center"/>
    </xf>
    <xf numFmtId="38" fontId="3" fillId="2" borderId="12" xfId="1" applyNumberFormat="1" applyFont="1" applyFill="1" applyBorder="1" applyAlignment="1">
      <alignment vertical="center"/>
    </xf>
    <xf numFmtId="38" fontId="3" fillId="2" borderId="27" xfId="1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5</xdr:row>
      <xdr:rowOff>184150</xdr:rowOff>
    </xdr:from>
    <xdr:to>
      <xdr:col>7</xdr:col>
      <xdr:colOff>209550</xdr:colOff>
      <xdr:row>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97650" y="1327150"/>
          <a:ext cx="13335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40,000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5</xdr:col>
      <xdr:colOff>95250</xdr:colOff>
      <xdr:row>6</xdr:row>
      <xdr:rowOff>372530</xdr:rowOff>
    </xdr:from>
    <xdr:to>
      <xdr:col>7</xdr:col>
      <xdr:colOff>215900</xdr:colOff>
      <xdr:row>7</xdr:row>
      <xdr:rowOff>188380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3183" y="1820330"/>
          <a:ext cx="1153584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ja-JP" altLang="en-US" sz="900"/>
            <a:t>最高</a:t>
          </a:r>
          <a:r>
            <a:rPr kumimoji="1" lang="en-US" altLang="ja-JP" sz="900"/>
            <a:t>50,000</a:t>
          </a:r>
          <a:r>
            <a:rPr kumimoji="1" lang="ja-JP" altLang="en-US" sz="900"/>
            <a:t>円）</a:t>
          </a:r>
          <a:endParaRPr kumimoji="1" lang="ja-JP" altLang="en-US" sz="1100"/>
        </a:p>
      </xdr:txBody>
    </xdr:sp>
    <xdr:clientData/>
  </xdr:twoCellAnchor>
  <xdr:twoCellAnchor>
    <xdr:from>
      <xdr:col>8</xdr:col>
      <xdr:colOff>88900</xdr:colOff>
      <xdr:row>5</xdr:row>
      <xdr:rowOff>177801</xdr:rowOff>
    </xdr:from>
    <xdr:to>
      <xdr:col>10</xdr:col>
      <xdr:colOff>171450</xdr:colOff>
      <xdr:row>6</xdr:row>
      <xdr:rowOff>201706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50959" y="1388036"/>
          <a:ext cx="1240491" cy="255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40,000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8</xdr:col>
      <xdr:colOff>88900</xdr:colOff>
      <xdr:row>13</xdr:row>
      <xdr:rowOff>177800</xdr:rowOff>
    </xdr:from>
    <xdr:to>
      <xdr:col>10</xdr:col>
      <xdr:colOff>171450</xdr:colOff>
      <xdr:row>14</xdr:row>
      <xdr:rowOff>231588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50959" y="3778624"/>
          <a:ext cx="1240491" cy="285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40,000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5</xdr:col>
      <xdr:colOff>88900</xdr:colOff>
      <xdr:row>20</xdr:row>
      <xdr:rowOff>169208</xdr:rowOff>
    </xdr:from>
    <xdr:to>
      <xdr:col>7</xdr:col>
      <xdr:colOff>209550</xdr:colOff>
      <xdr:row>21</xdr:row>
      <xdr:rowOff>188258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02312" y="5712384"/>
          <a:ext cx="1159062" cy="250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40,000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5</xdr:col>
      <xdr:colOff>95250</xdr:colOff>
      <xdr:row>21</xdr:row>
      <xdr:rowOff>342148</xdr:rowOff>
    </xdr:from>
    <xdr:to>
      <xdr:col>7</xdr:col>
      <xdr:colOff>215900</xdr:colOff>
      <xdr:row>22</xdr:row>
      <xdr:rowOff>170698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08662" y="6116913"/>
          <a:ext cx="1159062" cy="261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ja-JP" altLang="en-US" sz="900"/>
            <a:t>最高</a:t>
          </a:r>
          <a:r>
            <a:rPr kumimoji="1" lang="en-US" altLang="ja-JP" sz="900"/>
            <a:t>50,000</a:t>
          </a:r>
          <a:r>
            <a:rPr kumimoji="1" lang="ja-JP" altLang="en-US" sz="900"/>
            <a:t>円）</a:t>
          </a:r>
          <a:endParaRPr kumimoji="1" lang="ja-JP" altLang="en-US" sz="1100"/>
        </a:p>
      </xdr:txBody>
    </xdr:sp>
    <xdr:clientData/>
  </xdr:twoCellAnchor>
  <xdr:twoCellAnchor>
    <xdr:from>
      <xdr:col>8</xdr:col>
      <xdr:colOff>88900</xdr:colOff>
      <xdr:row>20</xdr:row>
      <xdr:rowOff>177800</xdr:rowOff>
    </xdr:from>
    <xdr:to>
      <xdr:col>10</xdr:col>
      <xdr:colOff>209176</xdr:colOff>
      <xdr:row>21</xdr:row>
      <xdr:rowOff>201706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2076" y="5720976"/>
          <a:ext cx="1278218" cy="255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40,000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8</xdr:col>
      <xdr:colOff>135466</xdr:colOff>
      <xdr:row>23</xdr:row>
      <xdr:rowOff>28259</xdr:rowOff>
    </xdr:from>
    <xdr:to>
      <xdr:col>10</xdr:col>
      <xdr:colOff>112058</xdr:colOff>
      <xdr:row>24</xdr:row>
      <xdr:rowOff>231587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48642" y="6699494"/>
          <a:ext cx="1134534" cy="307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120,000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2</xdr:col>
      <xdr:colOff>343646</xdr:colOff>
      <xdr:row>32</xdr:row>
      <xdr:rowOff>530409</xdr:rowOff>
    </xdr:from>
    <xdr:to>
      <xdr:col>4</xdr:col>
      <xdr:colOff>118533</xdr:colOff>
      <xdr:row>33</xdr:row>
      <xdr:rowOff>263091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21117" y="9644527"/>
          <a:ext cx="1134534" cy="307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50,000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5</xdr:col>
      <xdr:colOff>109810</xdr:colOff>
      <xdr:row>32</xdr:row>
      <xdr:rowOff>537881</xdr:rowOff>
    </xdr:from>
    <xdr:to>
      <xdr:col>7</xdr:col>
      <xdr:colOff>201699</xdr:colOff>
      <xdr:row>33</xdr:row>
      <xdr:rowOff>216647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74339" y="9651999"/>
          <a:ext cx="11303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15,000</a:t>
          </a:r>
          <a:r>
            <a:rPr kumimoji="1" lang="ja-JP" altLang="en-US" sz="900"/>
            <a:t>円）</a:t>
          </a:r>
        </a:p>
      </xdr:txBody>
    </xdr:sp>
    <xdr:clientData/>
  </xdr:twoCellAnchor>
  <xdr:twoCellAnchor>
    <xdr:from>
      <xdr:col>5</xdr:col>
      <xdr:colOff>102340</xdr:colOff>
      <xdr:row>33</xdr:row>
      <xdr:rowOff>657414</xdr:rowOff>
    </xdr:from>
    <xdr:to>
      <xdr:col>7</xdr:col>
      <xdr:colOff>313763</xdr:colOff>
      <xdr:row>34</xdr:row>
      <xdr:rowOff>254001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66869" y="10346767"/>
          <a:ext cx="1249835" cy="29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50,000</a:t>
          </a:r>
          <a:r>
            <a:rPr kumimoji="1" lang="ja-JP" altLang="en-US" sz="900"/>
            <a:t>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432E-B5A8-4F06-9504-EAAF6D4355FF}">
  <dimension ref="B1:X35"/>
  <sheetViews>
    <sheetView tabSelected="1" zoomScale="70" zoomScaleNormal="70" workbookViewId="0">
      <selection activeCell="K22" sqref="K22"/>
    </sheetView>
  </sheetViews>
  <sheetFormatPr defaultRowHeight="18" x14ac:dyDescent="0.45"/>
  <cols>
    <col min="1" max="1" width="2.19921875" customWidth="1"/>
    <col min="2" max="2" width="13.69921875" customWidth="1"/>
    <col min="3" max="3" width="8.796875" customWidth="1"/>
    <col min="4" max="4" width="20.19921875" customWidth="1"/>
    <col min="5" max="5" width="27.59765625" bestFit="1" customWidth="1"/>
    <col min="6" max="6" width="3" bestFit="1" customWidth="1"/>
    <col min="7" max="7" width="12.3984375" customWidth="1"/>
    <col min="8" max="8" width="15.8984375" customWidth="1"/>
    <col min="9" max="9" width="3" bestFit="1" customWidth="1"/>
    <col min="10" max="10" width="28.3984375" customWidth="1"/>
    <col min="11" max="11" width="40.59765625" customWidth="1"/>
    <col min="12" max="12" width="14.8984375" bestFit="1" customWidth="1"/>
    <col min="13" max="13" width="6.69921875" bestFit="1" customWidth="1"/>
    <col min="14" max="14" width="7.69921875" customWidth="1"/>
    <col min="15" max="15" width="8.19921875" customWidth="1"/>
    <col min="18" max="18" width="1.69921875" customWidth="1"/>
  </cols>
  <sheetData>
    <row r="1" spans="2:24" ht="20.399999999999999" thickBot="1" x14ac:dyDescent="0.5">
      <c r="B1" s="6" t="s">
        <v>29</v>
      </c>
      <c r="D1" s="18" t="s">
        <v>49</v>
      </c>
      <c r="L1" s="84" t="s">
        <v>15</v>
      </c>
      <c r="M1" s="84"/>
      <c r="N1" s="84"/>
      <c r="S1" s="84" t="s">
        <v>23</v>
      </c>
      <c r="T1" s="84"/>
      <c r="U1" s="84"/>
    </row>
    <row r="2" spans="2:24" ht="18.600000000000001" thickBot="1" x14ac:dyDescent="0.5">
      <c r="B2" s="77" t="s">
        <v>1</v>
      </c>
      <c r="C2" s="78"/>
      <c r="D2" s="25" t="s">
        <v>0</v>
      </c>
      <c r="E2" s="17" t="s">
        <v>2</v>
      </c>
      <c r="L2" s="79" t="s">
        <v>16</v>
      </c>
      <c r="M2" s="79"/>
      <c r="N2" s="79"/>
      <c r="O2" s="79"/>
      <c r="P2" s="80" t="s">
        <v>17</v>
      </c>
      <c r="Q2" s="81"/>
      <c r="S2" s="79" t="s">
        <v>24</v>
      </c>
      <c r="T2" s="79"/>
      <c r="U2" s="79"/>
      <c r="V2" s="79"/>
      <c r="W2" s="80" t="s">
        <v>17</v>
      </c>
      <c r="X2" s="81"/>
    </row>
    <row r="3" spans="2:24" x14ac:dyDescent="0.45">
      <c r="B3" s="71"/>
      <c r="C3" s="72"/>
      <c r="D3" s="57"/>
      <c r="E3" s="37"/>
      <c r="L3" s="8">
        <v>20000</v>
      </c>
      <c r="M3" s="3" t="s">
        <v>18</v>
      </c>
      <c r="N3" s="4"/>
      <c r="O3" s="3"/>
      <c r="P3" s="13">
        <f ca="1">IF(AND($D$7&lt;=L3),$D$7,"")</f>
        <v>0</v>
      </c>
      <c r="Q3" s="11">
        <f ca="1">P3</f>
        <v>0</v>
      </c>
      <c r="S3" s="8">
        <v>25000</v>
      </c>
      <c r="T3" s="3" t="s">
        <v>18</v>
      </c>
      <c r="U3" s="4"/>
      <c r="V3" s="3"/>
      <c r="W3" s="13">
        <f ca="1">IF(AND($D$8&lt;=S3),$D$8,"")</f>
        <v>0</v>
      </c>
      <c r="X3" s="11">
        <f ca="1">W3</f>
        <v>0</v>
      </c>
    </row>
    <row r="4" spans="2:24" ht="19.8" x14ac:dyDescent="0.45">
      <c r="B4" s="71"/>
      <c r="C4" s="72"/>
      <c r="D4" s="57"/>
      <c r="E4" s="37"/>
      <c r="F4" s="61" t="s">
        <v>63</v>
      </c>
      <c r="G4" s="62"/>
      <c r="H4" s="62"/>
      <c r="L4" s="8">
        <v>20001</v>
      </c>
      <c r="M4" s="3" t="s">
        <v>19</v>
      </c>
      <c r="N4" s="8">
        <v>40000</v>
      </c>
      <c r="O4" s="3" t="s">
        <v>20</v>
      </c>
      <c r="P4" s="13" t="str">
        <f ca="1">IF(AND($D$7&gt;= L4, $D$7&lt;=N4),$D$7,"")</f>
        <v/>
      </c>
      <c r="Q4" s="12" t="str">
        <f ca="1">IFERROR((P4*1)/2+10000,"")</f>
        <v/>
      </c>
      <c r="S4" s="8">
        <v>25001</v>
      </c>
      <c r="T4" s="3" t="s">
        <v>19</v>
      </c>
      <c r="U4" s="8">
        <v>50000</v>
      </c>
      <c r="V4" s="3" t="s">
        <v>20</v>
      </c>
      <c r="W4" s="13" t="str">
        <f ca="1">IF(AND($D$8&gt;= S4, $D$8&lt;=U4),$D$8,"")</f>
        <v/>
      </c>
      <c r="X4" s="12" t="str">
        <f ca="1">IFERROR((W4*1)/2+12500,"")</f>
        <v/>
      </c>
    </row>
    <row r="5" spans="2:24" x14ac:dyDescent="0.45">
      <c r="B5" s="71"/>
      <c r="C5" s="72"/>
      <c r="D5" s="57"/>
      <c r="E5" s="37"/>
      <c r="L5" s="8">
        <v>40001</v>
      </c>
      <c r="M5" s="3" t="s">
        <v>19</v>
      </c>
      <c r="N5" s="8">
        <v>80000</v>
      </c>
      <c r="O5" s="3" t="s">
        <v>20</v>
      </c>
      <c r="P5" s="13" t="str">
        <f ca="1">IF(AND($D$7&gt;= L5, $D$7&lt;=N5),$D$7,"")</f>
        <v/>
      </c>
      <c r="Q5" s="12" t="str">
        <f ca="1">IFERROR((P5*1)/4+20000,"")</f>
        <v/>
      </c>
      <c r="S5" s="8">
        <v>50001</v>
      </c>
      <c r="T5" s="3" t="s">
        <v>19</v>
      </c>
      <c r="U5" s="8">
        <v>100000</v>
      </c>
      <c r="V5" s="3" t="s">
        <v>20</v>
      </c>
      <c r="W5" s="13" t="str">
        <f ca="1">IF(AND($D$8&gt;= S5, $D$8&lt;=U5),$D$8,"")</f>
        <v/>
      </c>
      <c r="X5" s="12" t="str">
        <f ca="1">IFERROR((W5*1)/4+25000,"")</f>
        <v/>
      </c>
    </row>
    <row r="6" spans="2:24" ht="18.600000000000001" thickBot="1" x14ac:dyDescent="0.5">
      <c r="B6" s="73"/>
      <c r="C6" s="74"/>
      <c r="D6" s="58"/>
      <c r="E6" s="39"/>
      <c r="L6" s="8">
        <v>80001</v>
      </c>
      <c r="M6" s="3" t="s">
        <v>21</v>
      </c>
      <c r="N6" s="4" t="s">
        <v>25</v>
      </c>
      <c r="O6" s="3"/>
      <c r="P6" s="13"/>
      <c r="Q6" s="12" t="str">
        <f ca="1">IF(AND($D$7&gt;=L6),40000,"")</f>
        <v/>
      </c>
      <c r="S6" s="8">
        <v>100001</v>
      </c>
      <c r="T6" s="3" t="s">
        <v>21</v>
      </c>
      <c r="U6" s="4" t="s">
        <v>26</v>
      </c>
      <c r="V6" s="3"/>
      <c r="W6" s="13"/>
      <c r="X6" s="12" t="str">
        <f ca="1">IF(AND($D$8&gt;=S6),50000,"")</f>
        <v/>
      </c>
    </row>
    <row r="7" spans="2:24" ht="36" customHeight="1" thickBot="1" x14ac:dyDescent="0.5">
      <c r="B7" s="16" t="s">
        <v>5</v>
      </c>
      <c r="C7" s="42" t="s">
        <v>4</v>
      </c>
      <c r="D7" s="43">
        <f ca="1">SUMIF($D$3:$E$6,"=新",$E$3:$E$6)</f>
        <v>0</v>
      </c>
      <c r="E7" s="16" t="s">
        <v>8</v>
      </c>
      <c r="F7" s="46" t="s">
        <v>10</v>
      </c>
      <c r="G7" s="45">
        <f ca="1">Q7</f>
        <v>0</v>
      </c>
      <c r="H7" s="2" t="s">
        <v>12</v>
      </c>
      <c r="I7" s="47" t="s">
        <v>13</v>
      </c>
      <c r="J7" s="48">
        <f ca="1">IF($X$8&lt;=40000,$X$8,40000)</f>
        <v>0</v>
      </c>
      <c r="K7" s="1"/>
      <c r="P7" s="5" t="s">
        <v>10</v>
      </c>
      <c r="Q7" s="34">
        <f ca="1">ROUNDUP(SUM(Q3:Q6),0)</f>
        <v>0</v>
      </c>
      <c r="W7" s="10" t="s">
        <v>11</v>
      </c>
      <c r="X7" s="56">
        <f ca="1">ROUNDUP(SUM(X3:X6),0)</f>
        <v>0</v>
      </c>
    </row>
    <row r="8" spans="2:24" ht="36.6" thickBot="1" x14ac:dyDescent="0.5">
      <c r="B8" s="9" t="s">
        <v>6</v>
      </c>
      <c r="C8" s="44" t="s">
        <v>7</v>
      </c>
      <c r="D8" s="45">
        <f ca="1">SUMIF($D$3:$E$6,"=旧",$E$3:$E$6)</f>
        <v>0</v>
      </c>
      <c r="E8" s="9" t="s">
        <v>9</v>
      </c>
      <c r="F8" s="46" t="s">
        <v>11</v>
      </c>
      <c r="G8" s="45">
        <f ca="1">X7</f>
        <v>0</v>
      </c>
      <c r="H8" s="15" t="s">
        <v>3</v>
      </c>
      <c r="I8" s="26" t="s">
        <v>14</v>
      </c>
      <c r="J8" s="63">
        <f ca="1">IF(G8&gt;J7,G8,J7)</f>
        <v>0</v>
      </c>
      <c r="K8" s="18" t="s">
        <v>27</v>
      </c>
      <c r="W8" s="5" t="s">
        <v>22</v>
      </c>
      <c r="X8" s="35">
        <f ca="1">+Q7+X7</f>
        <v>0</v>
      </c>
    </row>
    <row r="9" spans="2:24" x14ac:dyDescent="0.45">
      <c r="L9" s="84" t="s">
        <v>15</v>
      </c>
      <c r="M9" s="84"/>
      <c r="N9" s="84"/>
      <c r="W9" s="19"/>
      <c r="X9" s="20"/>
    </row>
    <row r="10" spans="2:24" ht="22.8" thickBot="1" x14ac:dyDescent="0.5">
      <c r="B10" s="7" t="s">
        <v>28</v>
      </c>
      <c r="L10" s="79" t="s">
        <v>16</v>
      </c>
      <c r="M10" s="79"/>
      <c r="N10" s="79"/>
      <c r="O10" s="79"/>
      <c r="P10" s="80" t="s">
        <v>17</v>
      </c>
      <c r="Q10" s="81"/>
    </row>
    <row r="11" spans="2:24" x14ac:dyDescent="0.45">
      <c r="B11" s="67" t="s">
        <v>1</v>
      </c>
      <c r="C11" s="68"/>
      <c r="D11" s="68"/>
      <c r="E11" s="17" t="s">
        <v>2</v>
      </c>
      <c r="L11" s="8">
        <v>20000</v>
      </c>
      <c r="M11" s="3" t="s">
        <v>18</v>
      </c>
      <c r="N11" s="4"/>
      <c r="O11" s="3"/>
      <c r="P11" s="13">
        <f>IF(AND($D$15&lt;=L11),$D$15,"")</f>
        <v>0</v>
      </c>
      <c r="Q11" s="11">
        <f>P11</f>
        <v>0</v>
      </c>
    </row>
    <row r="12" spans="2:24" x14ac:dyDescent="0.45">
      <c r="B12" s="71"/>
      <c r="C12" s="75"/>
      <c r="D12" s="72"/>
      <c r="E12" s="40"/>
      <c r="L12" s="8">
        <v>20001</v>
      </c>
      <c r="M12" s="3" t="s">
        <v>19</v>
      </c>
      <c r="N12" s="8">
        <v>40000</v>
      </c>
      <c r="O12" s="3" t="s">
        <v>20</v>
      </c>
      <c r="P12" s="13" t="str">
        <f>IF(AND($D$15&gt;= L12, $D$15&lt;=N12),$D$15,"")</f>
        <v/>
      </c>
      <c r="Q12" s="12" t="str">
        <f>IFERROR((P12*1)/2+10000,"")</f>
        <v/>
      </c>
    </row>
    <row r="13" spans="2:24" ht="19.8" x14ac:dyDescent="0.45">
      <c r="B13" s="71"/>
      <c r="C13" s="75"/>
      <c r="D13" s="72"/>
      <c r="E13" s="40"/>
      <c r="F13" s="82"/>
      <c r="G13" s="83"/>
      <c r="H13" s="83"/>
      <c r="L13" s="8">
        <v>40001</v>
      </c>
      <c r="M13" s="3" t="s">
        <v>19</v>
      </c>
      <c r="N13" s="8">
        <v>80000</v>
      </c>
      <c r="O13" s="3" t="s">
        <v>20</v>
      </c>
      <c r="P13" s="13" t="str">
        <f>IF(AND($D$15&gt;= L13, $D$15&lt;=N13),$D$15,"")</f>
        <v/>
      </c>
      <c r="Q13" s="12" t="str">
        <f>IFERROR((P13*1)/4+20000,"")</f>
        <v/>
      </c>
    </row>
    <row r="14" spans="2:24" ht="18.600000000000001" thickBot="1" x14ac:dyDescent="0.5">
      <c r="B14" s="73"/>
      <c r="C14" s="76"/>
      <c r="D14" s="74"/>
      <c r="E14" s="41"/>
      <c r="L14" s="8">
        <v>80001</v>
      </c>
      <c r="M14" s="3" t="s">
        <v>21</v>
      </c>
      <c r="N14" s="4" t="s">
        <v>25</v>
      </c>
      <c r="O14" s="3"/>
      <c r="P14" s="13"/>
      <c r="Q14" s="12" t="str">
        <f>IF(AND($D$15&gt;=L14),40000,"")</f>
        <v/>
      </c>
    </row>
    <row r="15" spans="2:24" ht="37.049999999999997" customHeight="1" thickBot="1" x14ac:dyDescent="0.5">
      <c r="B15" s="16" t="s">
        <v>30</v>
      </c>
      <c r="C15" s="42" t="s">
        <v>31</v>
      </c>
      <c r="D15" s="49">
        <f>SUM(E12:E14)</f>
        <v>0</v>
      </c>
      <c r="E15" s="21"/>
      <c r="G15" s="69" t="s">
        <v>32</v>
      </c>
      <c r="H15" s="70"/>
      <c r="I15" s="26" t="s">
        <v>33</v>
      </c>
      <c r="J15" s="64">
        <f>IF($Q$15&lt;=40000,$Q$15,40000)</f>
        <v>0</v>
      </c>
      <c r="K15" s="18" t="s">
        <v>34</v>
      </c>
      <c r="P15" s="5" t="s">
        <v>33</v>
      </c>
      <c r="Q15" s="59">
        <f>ROUNDUP(SUM(Q11:Q14),0)</f>
        <v>0</v>
      </c>
    </row>
    <row r="16" spans="2:24" ht="22.8" thickBot="1" x14ac:dyDescent="0.5">
      <c r="B16" s="7" t="s">
        <v>35</v>
      </c>
      <c r="L16" s="84" t="s">
        <v>15</v>
      </c>
      <c r="M16" s="84"/>
      <c r="N16" s="84"/>
      <c r="S16" s="84" t="s">
        <v>23</v>
      </c>
      <c r="T16" s="84"/>
      <c r="U16" s="84"/>
    </row>
    <row r="17" spans="2:24" ht="18.600000000000001" thickBot="1" x14ac:dyDescent="0.5">
      <c r="B17" s="77" t="s">
        <v>1</v>
      </c>
      <c r="C17" s="78"/>
      <c r="D17" s="25" t="s">
        <v>0</v>
      </c>
      <c r="E17" s="17" t="s">
        <v>2</v>
      </c>
      <c r="L17" s="79" t="s">
        <v>16</v>
      </c>
      <c r="M17" s="79"/>
      <c r="N17" s="79"/>
      <c r="O17" s="79"/>
      <c r="P17" s="80" t="s">
        <v>17</v>
      </c>
      <c r="Q17" s="81"/>
      <c r="S17" s="79" t="s">
        <v>24</v>
      </c>
      <c r="T17" s="79"/>
      <c r="U17" s="79"/>
      <c r="V17" s="79"/>
      <c r="W17" s="80" t="s">
        <v>17</v>
      </c>
      <c r="X17" s="81"/>
    </row>
    <row r="18" spans="2:24" x14ac:dyDescent="0.45">
      <c r="B18" s="71"/>
      <c r="C18" s="72"/>
      <c r="D18" s="36"/>
      <c r="E18" s="37"/>
      <c r="L18" s="8">
        <v>20000</v>
      </c>
      <c r="M18" s="3" t="s">
        <v>18</v>
      </c>
      <c r="N18" s="4"/>
      <c r="O18" s="3"/>
      <c r="P18" s="13">
        <f ca="1">IF(AND($D$22&lt;=L18),$D$22,"")</f>
        <v>0</v>
      </c>
      <c r="Q18" s="11">
        <f ca="1">P18</f>
        <v>0</v>
      </c>
      <c r="S18" s="8">
        <v>25000</v>
      </c>
      <c r="T18" s="3" t="s">
        <v>18</v>
      </c>
      <c r="U18" s="4"/>
      <c r="V18" s="3"/>
      <c r="W18" s="4">
        <f ca="1">IF(AND($D$23&lt;=S18),$D$23,"")</f>
        <v>0</v>
      </c>
      <c r="X18" s="11">
        <f ca="1">W18</f>
        <v>0</v>
      </c>
    </row>
    <row r="19" spans="2:24" ht="19.8" x14ac:dyDescent="0.45">
      <c r="B19" s="71"/>
      <c r="C19" s="72"/>
      <c r="D19" s="36"/>
      <c r="E19" s="37"/>
      <c r="F19" s="82"/>
      <c r="G19" s="83"/>
      <c r="H19" s="83"/>
      <c r="L19" s="8">
        <v>20001</v>
      </c>
      <c r="M19" s="3" t="s">
        <v>19</v>
      </c>
      <c r="N19" s="8">
        <v>40000</v>
      </c>
      <c r="O19" s="3" t="s">
        <v>20</v>
      </c>
      <c r="P19" s="13" t="str">
        <f ca="1">IF(AND($D$22&gt;= L19, $D$22&lt;=N19),$D$22,"")</f>
        <v/>
      </c>
      <c r="Q19" s="12" t="str">
        <f ca="1">IFERROR((P19*1)/2+10000,"")</f>
        <v/>
      </c>
      <c r="S19" s="8">
        <v>25001</v>
      </c>
      <c r="T19" s="3" t="s">
        <v>19</v>
      </c>
      <c r="U19" s="8">
        <v>50000</v>
      </c>
      <c r="V19" s="3" t="s">
        <v>20</v>
      </c>
      <c r="W19" s="4" t="str">
        <f ca="1">IF(AND($D$23&gt;= S19, $D$23&lt;=U19),$D$23,"")</f>
        <v/>
      </c>
      <c r="X19" s="12" t="str">
        <f ca="1">IFERROR((W19*1)/2+12500,"")</f>
        <v/>
      </c>
    </row>
    <row r="20" spans="2:24" x14ac:dyDescent="0.45">
      <c r="B20" s="71"/>
      <c r="C20" s="72"/>
      <c r="D20" s="36"/>
      <c r="E20" s="37"/>
      <c r="L20" s="8">
        <v>40001</v>
      </c>
      <c r="M20" s="3" t="s">
        <v>19</v>
      </c>
      <c r="N20" s="8">
        <v>80000</v>
      </c>
      <c r="O20" s="3" t="s">
        <v>20</v>
      </c>
      <c r="P20" s="13" t="str">
        <f ca="1">IF(AND($D$22&gt;= L20, $D$22&lt;=N20),$D$22,"")</f>
        <v/>
      </c>
      <c r="Q20" s="12" t="str">
        <f ca="1">IFERROR((P20*1)/4+20000,"")</f>
        <v/>
      </c>
      <c r="S20" s="8">
        <v>50001</v>
      </c>
      <c r="T20" s="3" t="s">
        <v>19</v>
      </c>
      <c r="U20" s="8">
        <v>100000</v>
      </c>
      <c r="V20" s="3" t="s">
        <v>20</v>
      </c>
      <c r="W20" s="4" t="str">
        <f ca="1">IF(AND($D$23&gt;= S20, $D$23&lt;=U20),$D$23,"")</f>
        <v/>
      </c>
      <c r="X20" s="12" t="str">
        <f ca="1">IFERROR((W20*1)/4+25000,"")</f>
        <v/>
      </c>
    </row>
    <row r="21" spans="2:24" ht="18.600000000000001" thickBot="1" x14ac:dyDescent="0.5">
      <c r="B21" s="73"/>
      <c r="C21" s="74"/>
      <c r="D21" s="38"/>
      <c r="E21" s="39"/>
      <c r="L21" s="8">
        <v>80001</v>
      </c>
      <c r="M21" s="3" t="s">
        <v>21</v>
      </c>
      <c r="N21" s="4" t="s">
        <v>25</v>
      </c>
      <c r="O21" s="3"/>
      <c r="P21" s="13"/>
      <c r="Q21" s="12" t="str">
        <f ca="1">IF(AND($D$22&gt;=L21),40000,"")</f>
        <v/>
      </c>
      <c r="S21" s="8">
        <v>100001</v>
      </c>
      <c r="T21" s="3" t="s">
        <v>21</v>
      </c>
      <c r="U21" s="4" t="s">
        <v>26</v>
      </c>
      <c r="V21" s="3"/>
      <c r="W21" s="4"/>
      <c r="X21" s="12" t="str">
        <f ca="1">IF(AND($D$23&gt;=S21),50000,"")</f>
        <v/>
      </c>
    </row>
    <row r="22" spans="2:24" ht="34.049999999999997" customHeight="1" thickBot="1" x14ac:dyDescent="0.5">
      <c r="B22" s="16" t="s">
        <v>5</v>
      </c>
      <c r="C22" s="42" t="s">
        <v>47</v>
      </c>
      <c r="D22" s="43">
        <f ca="1">SUMIF($D$18:$E$21,"=新",$E$18:$E$21)</f>
        <v>0</v>
      </c>
      <c r="E22" s="16" t="s">
        <v>40</v>
      </c>
      <c r="F22" s="46" t="s">
        <v>37</v>
      </c>
      <c r="G22" s="45">
        <f ca="1">Q22</f>
        <v>0</v>
      </c>
      <c r="H22" s="2" t="s">
        <v>43</v>
      </c>
      <c r="I22" s="47" t="s">
        <v>39</v>
      </c>
      <c r="J22" s="48">
        <f ca="1">IF($X$23&lt;=40000,$X$23,40000)</f>
        <v>0</v>
      </c>
      <c r="K22" s="1"/>
      <c r="P22" s="5" t="s">
        <v>37</v>
      </c>
      <c r="Q22" s="34">
        <f ca="1">ROUNDUP(SUM(Q18:Q21),0)</f>
        <v>0</v>
      </c>
      <c r="W22" s="10" t="s">
        <v>38</v>
      </c>
      <c r="X22" s="14">
        <f ca="1">ROUNDUP(SUM(X18:X21),0)</f>
        <v>0</v>
      </c>
    </row>
    <row r="23" spans="2:24" ht="36.6" thickBot="1" x14ac:dyDescent="0.5">
      <c r="B23" s="9" t="s">
        <v>6</v>
      </c>
      <c r="C23" s="44" t="s">
        <v>48</v>
      </c>
      <c r="D23" s="45">
        <f ca="1">SUMIF($D$18:$E$21,"=旧",$E$18:$E$21)</f>
        <v>0</v>
      </c>
      <c r="E23" s="9" t="s">
        <v>41</v>
      </c>
      <c r="F23" s="46" t="s">
        <v>38</v>
      </c>
      <c r="G23" s="45">
        <f ca="1">X22</f>
        <v>0</v>
      </c>
      <c r="H23" s="15" t="s">
        <v>42</v>
      </c>
      <c r="I23" s="26" t="s">
        <v>36</v>
      </c>
      <c r="J23" s="63">
        <f ca="1">IF(G23&gt;J22,G23,J22)</f>
        <v>0</v>
      </c>
      <c r="K23" s="18" t="s">
        <v>45</v>
      </c>
      <c r="W23" s="5" t="s">
        <v>50</v>
      </c>
      <c r="X23" s="35">
        <f ca="1">+Q22+X22</f>
        <v>0</v>
      </c>
    </row>
    <row r="24" spans="2:24" ht="7.95" customHeight="1" thickBot="1" x14ac:dyDescent="0.5"/>
    <row r="25" spans="2:24" ht="38.549999999999997" customHeight="1" thickBot="1" x14ac:dyDescent="0.5">
      <c r="G25" s="22" t="s">
        <v>44</v>
      </c>
      <c r="H25" s="23"/>
      <c r="I25" s="24"/>
      <c r="J25" s="64">
        <f ca="1">IF(J8+J15+J23&lt;=120000,J8+J15+J23,120000)</f>
        <v>0</v>
      </c>
      <c r="K25" s="18" t="s">
        <v>46</v>
      </c>
    </row>
    <row r="27" spans="2:24" ht="22.8" thickBot="1" x14ac:dyDescent="0.5">
      <c r="B27" s="7" t="s">
        <v>62</v>
      </c>
    </row>
    <row r="28" spans="2:24" x14ac:dyDescent="0.45">
      <c r="B28" s="67" t="s">
        <v>1</v>
      </c>
      <c r="C28" s="68"/>
      <c r="D28" s="25" t="s">
        <v>52</v>
      </c>
      <c r="E28" s="17" t="s">
        <v>53</v>
      </c>
    </row>
    <row r="29" spans="2:24" x14ac:dyDescent="0.45">
      <c r="B29" s="71"/>
      <c r="C29" s="72"/>
      <c r="D29" s="36"/>
      <c r="E29" s="40"/>
      <c r="L29" s="79" t="s">
        <v>58</v>
      </c>
      <c r="M29" s="79"/>
      <c r="N29" s="79" t="s">
        <v>17</v>
      </c>
      <c r="O29" s="79"/>
    </row>
    <row r="30" spans="2:24" x14ac:dyDescent="0.45">
      <c r="B30" s="71"/>
      <c r="C30" s="72"/>
      <c r="D30" s="36"/>
      <c r="E30" s="40"/>
      <c r="L30" s="8">
        <v>10000</v>
      </c>
      <c r="M30" s="3" t="s">
        <v>60</v>
      </c>
      <c r="N30" s="28">
        <f ca="1">IF(AND($D$33&lt;=L30),$D$33,"")</f>
        <v>0</v>
      </c>
      <c r="O30" s="29">
        <f ca="1">N30</f>
        <v>0</v>
      </c>
    </row>
    <row r="31" spans="2:24" ht="18.600000000000001" thickBot="1" x14ac:dyDescent="0.5">
      <c r="B31" s="73"/>
      <c r="C31" s="74"/>
      <c r="D31" s="38"/>
      <c r="E31" s="41"/>
      <c r="L31" s="8">
        <v>10000</v>
      </c>
      <c r="M31" s="3" t="s">
        <v>59</v>
      </c>
      <c r="N31" s="28" t="str">
        <f ca="1">IF(AND($D$33&gt;L31),$D$33,"")</f>
        <v/>
      </c>
      <c r="O31" s="32" t="str">
        <f ca="1">IFERROR((N31*1)/2+5000,"")</f>
        <v/>
      </c>
    </row>
    <row r="32" spans="2:24" ht="31.95" customHeight="1" thickBot="1" x14ac:dyDescent="0.5">
      <c r="B32" s="27" t="s">
        <v>51</v>
      </c>
      <c r="C32" s="60" t="s">
        <v>7</v>
      </c>
      <c r="D32" s="50">
        <f ca="1">SUMIF($D$29:$E$31,"=地震",$E$29:$E$31)</f>
        <v>0</v>
      </c>
      <c r="O32" s="33">
        <f ca="1">ROUNDUP(SUM(O30:O31),0)</f>
        <v>0</v>
      </c>
    </row>
    <row r="33" spans="2:8" ht="45.6" thickBot="1" x14ac:dyDescent="0.5">
      <c r="B33" s="30" t="s">
        <v>54</v>
      </c>
      <c r="C33" s="51" t="s">
        <v>31</v>
      </c>
      <c r="D33" s="52">
        <f ca="1">SUMIF($D$29:$E$31,"=旧長期",$E$29:$E$31)</f>
        <v>0</v>
      </c>
    </row>
    <row r="34" spans="2:8" ht="55.05" customHeight="1" thickBot="1" x14ac:dyDescent="0.5">
      <c r="B34" s="31" t="s">
        <v>55</v>
      </c>
      <c r="C34" s="53" t="s">
        <v>56</v>
      </c>
      <c r="D34" s="54">
        <f ca="1">IF($D$32&lt;=50000,$D$32,50000)</f>
        <v>0</v>
      </c>
      <c r="E34" s="66" t="s">
        <v>57</v>
      </c>
      <c r="F34" s="66"/>
      <c r="G34" s="55">
        <f ca="1">IF($O$32&lt;=15000,$O$32,15000)</f>
        <v>0</v>
      </c>
    </row>
    <row r="35" spans="2:8" ht="50.55" customHeight="1" thickBot="1" x14ac:dyDescent="0.5">
      <c r="G35" s="65">
        <f ca="1">IF($D$34+$G$34&lt;=50000,$D$34+$G$34,50000)</f>
        <v>0</v>
      </c>
      <c r="H35" s="18" t="s">
        <v>61</v>
      </c>
    </row>
  </sheetData>
  <mergeCells count="39">
    <mergeCell ref="B11:D11"/>
    <mergeCell ref="L9:N9"/>
    <mergeCell ref="P10:Q10"/>
    <mergeCell ref="L10:O10"/>
    <mergeCell ref="B2:C2"/>
    <mergeCell ref="L2:O2"/>
    <mergeCell ref="P2:Q2"/>
    <mergeCell ref="B3:C3"/>
    <mergeCell ref="B4:C4"/>
    <mergeCell ref="B5:C5"/>
    <mergeCell ref="B6:C6"/>
    <mergeCell ref="S1:U1"/>
    <mergeCell ref="S2:V2"/>
    <mergeCell ref="L1:N1"/>
    <mergeCell ref="F13:H13"/>
    <mergeCell ref="W17:X17"/>
    <mergeCell ref="L16:N16"/>
    <mergeCell ref="S16:U16"/>
    <mergeCell ref="W2:X2"/>
    <mergeCell ref="P17:Q17"/>
    <mergeCell ref="S17:V17"/>
    <mergeCell ref="N29:O29"/>
    <mergeCell ref="L29:M29"/>
    <mergeCell ref="B29:C29"/>
    <mergeCell ref="F19:H19"/>
    <mergeCell ref="B18:C18"/>
    <mergeCell ref="B19:C19"/>
    <mergeCell ref="B20:C20"/>
    <mergeCell ref="B21:C21"/>
    <mergeCell ref="B12:D12"/>
    <mergeCell ref="B13:D13"/>
    <mergeCell ref="B14:D14"/>
    <mergeCell ref="B17:C17"/>
    <mergeCell ref="L17:O17"/>
    <mergeCell ref="E34:F34"/>
    <mergeCell ref="B28:C28"/>
    <mergeCell ref="G15:H15"/>
    <mergeCell ref="B30:C30"/>
    <mergeCell ref="B31:C31"/>
  </mergeCells>
  <phoneticPr fontId="2"/>
  <dataValidations count="2">
    <dataValidation type="list" allowBlank="1" showInputMessage="1" showErrorMessage="1" sqref="D3:D6 D18:D21" xr:uid="{55AF7018-3A1D-488B-AFC8-440981E824D9}">
      <formula1>"新,旧"</formula1>
    </dataValidation>
    <dataValidation type="list" allowBlank="1" showInputMessage="1" showErrorMessage="1" sqref="D29:D31" xr:uid="{1A780C14-8F8D-407E-8DD8-CDA0375AAA92}">
      <formula1>"地震,旧長期"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生命保険料控除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2021-11-10T22:00:13Z</dcterms:created>
  <dcterms:modified xsi:type="dcterms:W3CDTF">2022-11-05T03:04:47Z</dcterms:modified>
</cp:coreProperties>
</file>